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<sst xmlns="http://schemas.openxmlformats.org/spreadsheetml/2006/main" count="502" uniqueCount="150">
  <si>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</si>
  <si>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</si>
  <si>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</si>
  <si>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</si>
  <si>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</si>
  <si>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</si>
  <si>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</si>
  <si>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</si>
  <si>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</si>
  <si>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</si>
  <si>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</si>
  <si>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</si>
  <si>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</si>
  <si>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</si>
  <si>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</si>
  <si>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</si>
  <si>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</si>
  <si>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</si>
  <si>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</si>
  <si>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</si>
  <si>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</si>
  <si>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</si>
  <si>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</si>
  <si>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</si>
  <si>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</si>
  <si>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</si>
  <si>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</si>
  <si>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</si>
  <si>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</si>
  <si>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</si>
  <si>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</si>
  <si>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</si>
  <si>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</si>
  <si>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</si>
  <si>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</si>
  <si>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</si>
  <si>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</si>
  <si>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</si>
  <si>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</si>
  <si>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</si>
  <si>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</si>
  <si>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</si>
  <si>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</si>
  <si>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</si>
  <si>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</si>
  <si>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</si>
  <si>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</si>
  <si>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</si>
  <si>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</si>
  <si>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</si>
  <si>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</si>
  <si>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</si>
  <si>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</si>
  <si>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</si>
  <si>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</si>
  <si>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</si>
  <si>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</si>
  <si>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</si>
  <si>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</si>
  <si>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</si>
  <si>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</si>
  <si>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</si>
  <si>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</si>
  <si>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</si>
  <si>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</si>
  <si>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</si>
  <si>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</si>
  <si>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</si>
  <si>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</si>
  <si>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</si>
  <si>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</si>
  <si>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</si>
  <si>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</si>
  <si>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</si>
  <si>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</si>
  <si>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</si>
  <si>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</si>
  <si>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</si>
  <si>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</si>
  <si>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</si>
  <si>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</si>
  <si>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</si>
  <si>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</si>
  <si>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</si>
  <si>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</si>
  <si>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</si>
  <si>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</si>
  <si>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</si>
  <si>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</si>
  <si>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</si>
  <si>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</si>
  <si>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</si>
  <si>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</si>
  <si>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</si>
  <si>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</si>
  <si>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</si>
  <si>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</si>
  <si>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</si>
  <si>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</si>
  <si>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</si>
  <si>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</si>
  <si>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</si>
  <si>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</si>
  <si>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</si>
  <si>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</si>
  <si>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</si>
  <si>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</si>
  <si>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</si>
  <si>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</si>
  <si>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</si>
  <si>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</si>
  <si>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</si>
  <si>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</si>
  <si>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</si>
  <si>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</si>
  <si>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</si>
  <si>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</si>
  <si>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</si>
  <si>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</si>
  <si>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</si>
  <si>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</si>
  <si>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</si>
  <si>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</si>
  <si>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</si>
  <si>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</si>
  <si>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</si>
  <si>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</si>
  <si>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</si>
  <si>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</si>
  <si>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</si>
  <si>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</si>
  <si>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</si>
  <si>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</si>
  <si>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</si>
  <si>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</si>
  <si>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</si>
  <si>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</si>
  <si>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</si>
  <si>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</si>
  <si>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</si>
  <si>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</si>
  <si>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</si>
  <si>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</si>
  <si>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</si>
  <si>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</si>
  <si>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</si>
  <si>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</si>
  <si>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</si>
  <si>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28.03.2016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</si>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</sst>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184658.09</v>
      </c>
      <c r="G8" s="15">
        <f aca="true" t="shared" si="0" ref="G8:G21">F8-E8</f>
        <v>-15656.090000000026</v>
      </c>
      <c r="H8" s="38">
        <f>F8/E8*100</f>
        <v>92.1842327887122</v>
      </c>
      <c r="I8" s="28">
        <f>F8-D8</f>
        <v>-656391.91</v>
      </c>
      <c r="J8" s="28">
        <f>F8/D8*100</f>
        <v>21.955661375661375</v>
      </c>
      <c r="K8" s="15">
        <f>F8-139482.78</f>
        <v>45175.31</v>
      </c>
      <c r="L8" s="15">
        <f>F8/139482.78*100</f>
        <v>132.3877327366145</v>
      </c>
      <c r="M8" s="15">
        <f>M9+M15+M18+M19+M20+M32+M17</f>
        <v>77601.41</v>
      </c>
      <c r="N8" s="15">
        <f>N9+N15+N18+N19+N20+N32+N17</f>
        <v>44235.06500000002</v>
      </c>
      <c r="O8" s="15">
        <f>N8-M8</f>
        <v>-33366.34499999999</v>
      </c>
      <c r="P8" s="15">
        <f>N8/M8*100</f>
        <v>57.00291399344422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101721.74</v>
      </c>
      <c r="G9" s="36">
        <f t="shared" si="0"/>
        <v>-4261.529999999999</v>
      </c>
      <c r="H9" s="32">
        <f>F9/E9*100</f>
        <v>95.97905405258773</v>
      </c>
      <c r="I9" s="42">
        <f>F9-D9</f>
        <v>-357978.26</v>
      </c>
      <c r="J9" s="42">
        <f>F9/D9*100</f>
        <v>22.127852947574507</v>
      </c>
      <c r="K9" s="106">
        <f>F9-78437.5</f>
        <v>23284.240000000005</v>
      </c>
      <c r="L9" s="106">
        <f>F9/78437.5*100</f>
        <v>129.68508685258965</v>
      </c>
      <c r="M9" s="32">
        <f>E9-лютий!E9</f>
        <v>45393.005000000005</v>
      </c>
      <c r="N9" s="178">
        <f>F9-лютий!F9</f>
        <v>31397.14</v>
      </c>
      <c r="O9" s="40">
        <f>N9-M9</f>
        <v>-13995.865000000005</v>
      </c>
      <c r="P9" s="42">
        <f>N9/M9*100</f>
        <v>69.16735298753629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90272.49</v>
      </c>
      <c r="G10" s="109">
        <f t="shared" si="0"/>
        <v>-4344.349999999991</v>
      </c>
      <c r="H10" s="32">
        <f aca="true" t="shared" si="1" ref="H10:H31">F10/E10*100</f>
        <v>95.40848119637056</v>
      </c>
      <c r="I10" s="110">
        <f aca="true" t="shared" si="2" ref="I10:I32">F10-D10</f>
        <v>-321167.51</v>
      </c>
      <c r="J10" s="110">
        <f aca="true" t="shared" si="3" ref="J10:J31">F10/D10*100</f>
        <v>21.940620746645926</v>
      </c>
      <c r="K10" s="112">
        <f>F10-69239.48</f>
        <v>21033.01000000001</v>
      </c>
      <c r="L10" s="112">
        <f>F10/69239.48*100</f>
        <v>130.37719231860206</v>
      </c>
      <c r="M10" s="111">
        <f>E10-лютий!E10</f>
        <v>40243</v>
      </c>
      <c r="N10" s="179">
        <f>F10-лютий!F10</f>
        <v>28058.540000000008</v>
      </c>
      <c r="O10" s="112">
        <f aca="true" t="shared" si="4" ref="O10:O32">N10-M10</f>
        <v>-12184.459999999992</v>
      </c>
      <c r="P10" s="42">
        <f aca="true" t="shared" si="5" ref="P10:P25">N10/M10*100</f>
        <v>69.72278408667349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6764</v>
      </c>
      <c r="G11" s="109">
        <f t="shared" si="0"/>
        <v>-320.9399999999996</v>
      </c>
      <c r="H11" s="32">
        <f t="shared" si="1"/>
        <v>95.47010983861543</v>
      </c>
      <c r="I11" s="110">
        <f t="shared" si="2"/>
        <v>-16236</v>
      </c>
      <c r="J11" s="110">
        <f t="shared" si="3"/>
        <v>29.40869565217391</v>
      </c>
      <c r="K11" s="112">
        <f>F11-4902.53</f>
        <v>1861.4700000000003</v>
      </c>
      <c r="L11" s="112">
        <f>F11/4902.53*100</f>
        <v>137.96957897248973</v>
      </c>
      <c r="M11" s="111">
        <f>E11-лютий!E11</f>
        <v>3149.9999999999995</v>
      </c>
      <c r="N11" s="179">
        <f>F11-лютий!F11</f>
        <v>1444.8400000000001</v>
      </c>
      <c r="O11" s="112">
        <f t="shared" si="4"/>
        <v>-1705.1599999999994</v>
      </c>
      <c r="P11" s="42">
        <f t="shared" si="5"/>
        <v>45.86793650793652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1457.61</v>
      </c>
      <c r="G12" s="109">
        <f t="shared" si="0"/>
        <v>352</v>
      </c>
      <c r="H12" s="32">
        <f t="shared" si="1"/>
        <v>131.8376280967068</v>
      </c>
      <c r="I12" s="110">
        <f t="shared" si="2"/>
        <v>-5042.39</v>
      </c>
      <c r="J12" s="110">
        <f t="shared" si="3"/>
        <v>22.42476923076923</v>
      </c>
      <c r="K12" s="112">
        <f>F12-1215.38</f>
        <v>242.2299999999998</v>
      </c>
      <c r="L12" s="112">
        <f>F12/1215.38*100</f>
        <v>119.93039214072962</v>
      </c>
      <c r="M12" s="111">
        <f>E12-лютий!E12</f>
        <v>479.9999999999999</v>
      </c>
      <c r="N12" s="179">
        <f>F12-лютий!F12</f>
        <v>635.5799999999999</v>
      </c>
      <c r="O12" s="112">
        <f t="shared" si="4"/>
        <v>155.58000000000004</v>
      </c>
      <c r="P12" s="42">
        <f t="shared" si="5"/>
        <v>132.41250000000002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2290.79</v>
      </c>
      <c r="G13" s="109">
        <f t="shared" si="0"/>
        <v>380.95000000000005</v>
      </c>
      <c r="H13" s="32">
        <f t="shared" si="1"/>
        <v>119.94669710551669</v>
      </c>
      <c r="I13" s="110">
        <f t="shared" si="2"/>
        <v>-10109.21</v>
      </c>
      <c r="J13" s="110">
        <f t="shared" si="3"/>
        <v>18.474112903225805</v>
      </c>
      <c r="K13" s="112">
        <f>F13-1220.33</f>
        <v>1070.46</v>
      </c>
      <c r="L13" s="112">
        <f>F13/1220.33*100</f>
        <v>187.71889570853787</v>
      </c>
      <c r="M13" s="111">
        <f>E13-лютий!E13</f>
        <v>880.0049999999999</v>
      </c>
      <c r="N13" s="179">
        <f>F13-лютий!F13</f>
        <v>776.3</v>
      </c>
      <c r="O13" s="112">
        <f t="shared" si="4"/>
        <v>-103.70499999999993</v>
      </c>
      <c r="P13" s="42">
        <f t="shared" si="5"/>
        <v>88.21540786700076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936.85</v>
      </c>
      <c r="G14" s="109">
        <f t="shared" si="0"/>
        <v>-329.18999999999994</v>
      </c>
      <c r="H14" s="32">
        <f t="shared" si="1"/>
        <v>73.99845186565986</v>
      </c>
      <c r="I14" s="110">
        <f t="shared" si="2"/>
        <v>-5423.15</v>
      </c>
      <c r="J14" s="110">
        <f t="shared" si="3"/>
        <v>14.730345911949685</v>
      </c>
      <c r="K14" s="112">
        <f>F14-1859.78</f>
        <v>-922.93</v>
      </c>
      <c r="L14" s="112">
        <f>F14/1859.78*100</f>
        <v>50.374237813074664</v>
      </c>
      <c r="M14" s="111">
        <f>E14-лютий!E14</f>
        <v>640</v>
      </c>
      <c r="N14" s="179">
        <f>F14-лютий!F14</f>
        <v>481.88</v>
      </c>
      <c r="O14" s="112">
        <f t="shared" si="4"/>
        <v>-158.12</v>
      </c>
      <c r="P14" s="42">
        <f t="shared" si="5"/>
        <v>75.29375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13286.36</v>
      </c>
      <c r="G19" s="36">
        <f t="shared" si="0"/>
        <v>-6774.040000000001</v>
      </c>
      <c r="H19" s="32">
        <f t="shared" si="1"/>
        <v>66.23178002432654</v>
      </c>
      <c r="I19" s="42">
        <f t="shared" si="2"/>
        <v>-96613.64</v>
      </c>
      <c r="J19" s="42">
        <f t="shared" si="3"/>
        <v>12.089499545040946</v>
      </c>
      <c r="K19" s="185">
        <f>F19-10070.48</f>
        <v>3215.880000000001</v>
      </c>
      <c r="L19" s="185">
        <f>F19/10070.48*100</f>
        <v>131.9337310634647</v>
      </c>
      <c r="M19" s="32">
        <f>E19-лютий!E19</f>
        <v>8000.000000000002</v>
      </c>
      <c r="N19" s="178">
        <f>F19-лютий!F19</f>
        <v>2425.3600000000006</v>
      </c>
      <c r="O19" s="40">
        <f t="shared" si="4"/>
        <v>-5574.640000000001</v>
      </c>
      <c r="P19" s="42">
        <f t="shared" si="5"/>
        <v>30.317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69358.80000000002</v>
      </c>
      <c r="G20" s="36">
        <f t="shared" si="0"/>
        <v>-4791.709999999992</v>
      </c>
      <c r="H20" s="32">
        <f t="shared" si="1"/>
        <v>93.53785968565828</v>
      </c>
      <c r="I20" s="42">
        <f t="shared" si="2"/>
        <v>-201581.19999999998</v>
      </c>
      <c r="J20" s="42">
        <f t="shared" si="3"/>
        <v>25.5993208828523</v>
      </c>
      <c r="K20" s="132">
        <f>F20-49978.98</f>
        <v>19379.820000000014</v>
      </c>
      <c r="L20" s="110">
        <f>F20/49978.98*100</f>
        <v>138.775941405767</v>
      </c>
      <c r="M20" s="32">
        <f>M21+M25+M26+M27</f>
        <v>24098.405</v>
      </c>
      <c r="N20" s="178">
        <f>F20-лютий!F20</f>
        <v>10312.360000000015</v>
      </c>
      <c r="O20" s="40">
        <f t="shared" si="4"/>
        <v>-13786.044999999984</v>
      </c>
      <c r="P20" s="42">
        <f t="shared" si="5"/>
        <v>42.79270765015368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31619.030000000002</v>
      </c>
      <c r="G21" s="36">
        <f t="shared" si="0"/>
        <v>-5222.23</v>
      </c>
      <c r="H21" s="32">
        <f t="shared" si="1"/>
        <v>85.82505050044435</v>
      </c>
      <c r="I21" s="42">
        <f t="shared" si="2"/>
        <v>-129780.97</v>
      </c>
      <c r="J21" s="42">
        <f t="shared" si="3"/>
        <v>19.590477075588602</v>
      </c>
      <c r="K21" s="132">
        <f>F21-24610.26</f>
        <v>7008.770000000004</v>
      </c>
      <c r="L21" s="110">
        <f>F21/24610.26*100</f>
        <v>128.47905710870185</v>
      </c>
      <c r="M21" s="32">
        <f>M22+M23+M24</f>
        <v>13345</v>
      </c>
      <c r="N21" s="178">
        <f>F21-лютий!F21</f>
        <v>6134.980000000003</v>
      </c>
      <c r="O21" s="40">
        <f t="shared" si="4"/>
        <v>-7210.019999999997</v>
      </c>
      <c r="P21" s="42">
        <f t="shared" si="5"/>
        <v>45.972124391157756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3805.17</v>
      </c>
      <c r="G22" s="109">
        <f>F22-E22</f>
        <v>273.57000000000016</v>
      </c>
      <c r="H22" s="111">
        <f t="shared" si="1"/>
        <v>107.7463472646959</v>
      </c>
      <c r="I22" s="110">
        <f t="shared" si="2"/>
        <v>-14694.83</v>
      </c>
      <c r="J22" s="110">
        <f t="shared" si="3"/>
        <v>20.56848648648649</v>
      </c>
      <c r="K22" s="174">
        <f>F22-526.28</f>
        <v>3278.8900000000003</v>
      </c>
      <c r="L22" s="174">
        <f>F22/526.28*100</f>
        <v>723.0314661396975</v>
      </c>
      <c r="M22" s="111">
        <f>E22-лютий!E22</f>
        <v>240</v>
      </c>
      <c r="N22" s="179">
        <f>F22-лютий!F22</f>
        <v>252.4000000000001</v>
      </c>
      <c r="O22" s="112">
        <f t="shared" si="4"/>
        <v>12.400000000000091</v>
      </c>
      <c r="P22" s="110">
        <f t="shared" si="5"/>
        <v>105.1666666666667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314.14</v>
      </c>
      <c r="G23" s="109">
        <f>F23-E23</f>
        <v>112.29999999999998</v>
      </c>
      <c r="H23" s="111">
        <f t="shared" si="1"/>
        <v>155.63812921125643</v>
      </c>
      <c r="I23" s="110">
        <f t="shared" si="2"/>
        <v>-2485.86</v>
      </c>
      <c r="J23" s="110">
        <f t="shared" si="3"/>
        <v>11.219285714285714</v>
      </c>
      <c r="K23" s="110">
        <f>F23-37.7</f>
        <v>276.44</v>
      </c>
      <c r="L23" s="110">
        <f>F23/37.7*100</f>
        <v>833.262599469496</v>
      </c>
      <c r="M23" s="111">
        <f>E23-лютий!E23</f>
        <v>0</v>
      </c>
      <c r="N23" s="179">
        <f>F23-лютий!F23</f>
        <v>139.92999999999998</v>
      </c>
      <c r="O23" s="112">
        <f t="shared" si="4"/>
        <v>139.92999999999998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27499.72</v>
      </c>
      <c r="G24" s="109">
        <f>F24-E24</f>
        <v>-5608.0999999999985</v>
      </c>
      <c r="H24" s="111">
        <f t="shared" si="1"/>
        <v>83.06110157660638</v>
      </c>
      <c r="I24" s="110">
        <f t="shared" si="2"/>
        <v>-112600.28</v>
      </c>
      <c r="J24" s="110">
        <f t="shared" si="3"/>
        <v>19.628636688079943</v>
      </c>
      <c r="K24" s="174">
        <f>F24-24046.28</f>
        <v>3453.4400000000023</v>
      </c>
      <c r="L24" s="174">
        <f>F24/24046.28*100</f>
        <v>114.36163930553916</v>
      </c>
      <c r="M24" s="111">
        <f>E24-лютий!E24</f>
        <v>13105</v>
      </c>
      <c r="N24" s="179">
        <f>F24-лютий!F24</f>
        <v>5742.6500000000015</v>
      </c>
      <c r="O24" s="112">
        <f t="shared" si="4"/>
        <v>-7362.3499999999985</v>
      </c>
      <c r="P24" s="110">
        <f t="shared" si="5"/>
        <v>43.82029759633729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-70.4</v>
      </c>
      <c r="G26" s="36">
        <f aca="true" t="shared" si="6" ref="G26:G32">F26-E26</f>
        <v>-70.4</v>
      </c>
      <c r="H26" s="32"/>
      <c r="I26" s="42">
        <f t="shared" si="2"/>
        <v>-70.4</v>
      </c>
      <c r="J26" s="42"/>
      <c r="K26" s="132">
        <f>F26-12.89</f>
        <v>-83.29</v>
      </c>
      <c r="L26" s="132">
        <f>F26/12.89*100</f>
        <v>-546.1598138091543</v>
      </c>
      <c r="M26" s="32">
        <f>E26-лютий!E26</f>
        <v>0</v>
      </c>
      <c r="N26" s="178">
        <f>F26-лютий!F26</f>
        <v>-17.470000000000006</v>
      </c>
      <c r="O26" s="40">
        <f t="shared" si="4"/>
        <v>-17.470000000000006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37785.36</v>
      </c>
      <c r="G27" s="36">
        <f t="shared" si="6"/>
        <v>490.1200000000026</v>
      </c>
      <c r="H27" s="32">
        <f t="shared" si="1"/>
        <v>101.3141623435055</v>
      </c>
      <c r="I27" s="42">
        <f t="shared" si="2"/>
        <v>-71677.64</v>
      </c>
      <c r="J27" s="42">
        <f t="shared" si="3"/>
        <v>34.51884198313586</v>
      </c>
      <c r="K27" s="106">
        <f>F27-25338.21</f>
        <v>12447.150000000001</v>
      </c>
      <c r="L27" s="106">
        <f>F27/25338.21*100</f>
        <v>149.12403046624053</v>
      </c>
      <c r="M27" s="32">
        <f>E27-лютий!E27</f>
        <v>10749.999999999996</v>
      </c>
      <c r="N27" s="178">
        <f>F27-лютий!F27</f>
        <v>4190.8499999999985</v>
      </c>
      <c r="O27" s="40">
        <f t="shared" si="4"/>
        <v>-6559.149999999998</v>
      </c>
      <c r="P27" s="42">
        <f>N27/M27*100</f>
        <v>38.9846511627907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9404.32</v>
      </c>
      <c r="G29" s="109">
        <f t="shared" si="6"/>
        <v>68.35000000000036</v>
      </c>
      <c r="H29" s="111">
        <f t="shared" si="1"/>
        <v>100.73211460619518</v>
      </c>
      <c r="I29" s="110">
        <f t="shared" si="2"/>
        <v>-18195.68</v>
      </c>
      <c r="J29" s="110">
        <f t="shared" si="3"/>
        <v>34.0736231884058</v>
      </c>
      <c r="K29" s="142">
        <f>F29-6631.29</f>
        <v>2773.0299999999997</v>
      </c>
      <c r="L29" s="142">
        <f>F29/6631.29*100</f>
        <v>141.81735378787536</v>
      </c>
      <c r="M29" s="111">
        <f>E29-лютий!E29</f>
        <v>3679.999999999999</v>
      </c>
      <c r="N29" s="179">
        <f>F29-лютий!F29</f>
        <v>725.0499999999993</v>
      </c>
      <c r="O29" s="112">
        <f t="shared" si="4"/>
        <v>-2954.95</v>
      </c>
      <c r="P29" s="110">
        <f>N29/M29*100</f>
        <v>19.702445652173896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28373.38</v>
      </c>
      <c r="G30" s="109">
        <f t="shared" si="6"/>
        <v>437.2999999999993</v>
      </c>
      <c r="H30" s="111">
        <f t="shared" si="1"/>
        <v>101.56535920572965</v>
      </c>
      <c r="I30" s="110">
        <f t="shared" si="2"/>
        <v>-53438.619999999995</v>
      </c>
      <c r="J30" s="110">
        <f t="shared" si="3"/>
        <v>34.681195912580066</v>
      </c>
      <c r="K30" s="142">
        <f>F30-18703.62</f>
        <v>9669.760000000002</v>
      </c>
      <c r="L30" s="142">
        <f>F30/18603.62*100</f>
        <v>152.5153706644191</v>
      </c>
      <c r="M30" s="111">
        <f>E30-лютий!E30</f>
        <v>7050</v>
      </c>
      <c r="N30" s="179">
        <f>F30-лютий!F30</f>
        <v>3465.7100000000028</v>
      </c>
      <c r="O30" s="112">
        <f t="shared" si="4"/>
        <v>-3584.2899999999972</v>
      </c>
      <c r="P30" s="110">
        <f>N30/M30*100</f>
        <v>49.15900709219862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10270.019999999999</v>
      </c>
      <c r="G33" s="15">
        <f>G34+G35+G36+G37+G38+G39+G41+G42+G43+G44+G45+G50+G51+G55</f>
        <v>-239.99100000000018</v>
      </c>
      <c r="H33" s="38">
        <f>F33/E33*100</f>
        <v>97.71636258732251</v>
      </c>
      <c r="I33" s="28">
        <f>F33-D33</f>
        <v>-32549.980000000003</v>
      </c>
      <c r="J33" s="28">
        <f>F33/D33*100</f>
        <v>23.984166277440444</v>
      </c>
      <c r="K33" s="15">
        <f>F33-7649.28</f>
        <v>2620.739999999999</v>
      </c>
      <c r="L33" s="15">
        <f>F33/7649.28*100</f>
        <v>134.26126380522086</v>
      </c>
      <c r="M33" s="15">
        <f>M34+M35+M36+M37+M38+M39+M41+M42+M43+M44+M45+M50+M51+M55</f>
        <v>5575.005</v>
      </c>
      <c r="N33" s="15">
        <f>N34+N35+N36+N37+N38+N39+N41+N42+N43+N44+N45+N50+N51+N55</f>
        <v>5353.58</v>
      </c>
      <c r="O33" s="15">
        <f>O34+O35+O36+O37+O38+O39+O41+O42+O43+O44+O45+O50+O51+O55</f>
        <v>-221.4249999999998</v>
      </c>
      <c r="P33" s="15">
        <f>N33/M33*100</f>
        <v>96.02825468317965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14.97</v>
      </c>
      <c r="G38" s="36">
        <f t="shared" si="9"/>
        <v>-15.03</v>
      </c>
      <c r="H38" s="32">
        <f t="shared" si="7"/>
        <v>49.9</v>
      </c>
      <c r="I38" s="42">
        <f t="shared" si="10"/>
        <v>-135.03</v>
      </c>
      <c r="J38" s="42">
        <f t="shared" si="12"/>
        <v>9.98</v>
      </c>
      <c r="K38" s="42">
        <f>F38-30.76</f>
        <v>-15.790000000000001</v>
      </c>
      <c r="L38" s="42">
        <f>F38/30.76*100</f>
        <v>48.66710013003901</v>
      </c>
      <c r="M38" s="32">
        <f>E38-лютий!E38</f>
        <v>10</v>
      </c>
      <c r="N38" s="178">
        <f>F38-лютий!F38</f>
        <v>11.32</v>
      </c>
      <c r="O38" s="40">
        <f t="shared" si="11"/>
        <v>1.3200000000000003</v>
      </c>
      <c r="P38" s="42">
        <f t="shared" si="8"/>
        <v>113.20000000000002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2141.56</v>
      </c>
      <c r="G41" s="36">
        <f t="shared" si="9"/>
        <v>2.5399999999999636</v>
      </c>
      <c r="H41" s="32">
        <f t="shared" si="7"/>
        <v>100.11874596777963</v>
      </c>
      <c r="I41" s="42">
        <f t="shared" si="10"/>
        <v>-7758.4400000000005</v>
      </c>
      <c r="J41" s="42">
        <f t="shared" si="12"/>
        <v>21.63191919191919</v>
      </c>
      <c r="K41" s="42">
        <f>F41-2528.58</f>
        <v>-387.02</v>
      </c>
      <c r="L41" s="42">
        <f>F41/2528.58*100</f>
        <v>84.69417617793385</v>
      </c>
      <c r="M41" s="32">
        <f>E41-лютий!E41</f>
        <v>800.0049999999999</v>
      </c>
      <c r="N41" s="178">
        <f>F41-лютий!F41</f>
        <v>790.3899999999999</v>
      </c>
      <c r="O41" s="40">
        <f t="shared" si="11"/>
        <v>-9.615000000000009</v>
      </c>
      <c r="P41" s="42">
        <f t="shared" si="8"/>
        <v>98.7981325116718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1399.86</v>
      </c>
      <c r="G45" s="36">
        <f t="shared" si="9"/>
        <v>26.669999999999845</v>
      </c>
      <c r="H45" s="32">
        <f t="shared" si="7"/>
        <v>101.94219299587091</v>
      </c>
      <c r="I45" s="42">
        <f t="shared" si="10"/>
        <v>-5900.14</v>
      </c>
      <c r="J45" s="42">
        <f t="shared" si="12"/>
        <v>19.17616438356164</v>
      </c>
      <c r="K45" s="132">
        <f>F45-2181.98</f>
        <v>-782.1200000000001</v>
      </c>
      <c r="L45" s="132">
        <f>F45/2181.98*100</f>
        <v>64.15549180102475</v>
      </c>
      <c r="M45" s="32">
        <f>E45-лютий!E45</f>
        <v>477</v>
      </c>
      <c r="N45" s="178">
        <f>F45-лютий!F45</f>
        <v>434.69999999999993</v>
      </c>
      <c r="O45" s="40">
        <f t="shared" si="11"/>
        <v>-42.30000000000007</v>
      </c>
      <c r="P45" s="132">
        <f t="shared" si="8"/>
        <v>91.1320754716981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147.58</v>
      </c>
      <c r="G46" s="36">
        <f t="shared" si="9"/>
        <v>-41.41</v>
      </c>
      <c r="H46" s="32">
        <f t="shared" si="7"/>
        <v>78.08878776654849</v>
      </c>
      <c r="I46" s="110">
        <f t="shared" si="10"/>
        <v>-952.42</v>
      </c>
      <c r="J46" s="42">
        <f t="shared" si="12"/>
        <v>13.416363636363638</v>
      </c>
      <c r="K46" s="110">
        <f>F46-216.18</f>
        <v>-68.6</v>
      </c>
      <c r="L46" s="110">
        <f>F46/216.18*100</f>
        <v>68.2671847534462</v>
      </c>
      <c r="M46" s="32">
        <f>E46-лютий!E46</f>
        <v>76.00000000000001</v>
      </c>
      <c r="N46" s="178">
        <f>F46-лютий!F46</f>
        <v>62.150000000000006</v>
      </c>
      <c r="O46" s="112">
        <f t="shared" si="11"/>
        <v>-13.850000000000009</v>
      </c>
      <c r="P46" s="132">
        <f t="shared" si="8"/>
        <v>81.77631578947367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1252.16</v>
      </c>
      <c r="G49" s="36">
        <f t="shared" si="9"/>
        <v>69.99000000000001</v>
      </c>
      <c r="H49" s="32">
        <f t="shared" si="7"/>
        <v>105.9204682913625</v>
      </c>
      <c r="I49" s="110">
        <f t="shared" si="10"/>
        <v>-4901.84</v>
      </c>
      <c r="J49" s="42">
        <f t="shared" si="12"/>
        <v>20.347091322716935</v>
      </c>
      <c r="K49" s="110">
        <f>F49-1921.57</f>
        <v>-669.4099999999999</v>
      </c>
      <c r="L49" s="110">
        <f>F49/1921.57*100</f>
        <v>65.1633820261557</v>
      </c>
      <c r="M49" s="32">
        <f>E49-лютий!E49</f>
        <v>400.0000000000001</v>
      </c>
      <c r="N49" s="178">
        <f>F49-лютий!F49</f>
        <v>373.5100000000001</v>
      </c>
      <c r="O49" s="112">
        <f t="shared" si="11"/>
        <v>-26.49000000000001</v>
      </c>
      <c r="P49" s="132">
        <f t="shared" si="8"/>
        <v>93.3775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1016.28</v>
      </c>
      <c r="G51" s="36">
        <f t="shared" si="9"/>
        <v>8.299999999999955</v>
      </c>
      <c r="H51" s="32">
        <f t="shared" si="7"/>
        <v>100.8234290362904</v>
      </c>
      <c r="I51" s="42">
        <f t="shared" si="10"/>
        <v>-3783.7200000000003</v>
      </c>
      <c r="J51" s="42">
        <f t="shared" si="12"/>
        <v>21.1725</v>
      </c>
      <c r="K51" s="42">
        <f>F51-960.47</f>
        <v>55.809999999999945</v>
      </c>
      <c r="L51" s="42">
        <f>F51/960.47*100</f>
        <v>105.81069684633565</v>
      </c>
      <c r="M51" s="32">
        <f>E51-лютий!E51</f>
        <v>370</v>
      </c>
      <c r="N51" s="178">
        <f>F51-лютий!F51</f>
        <v>293.62</v>
      </c>
      <c r="O51" s="40">
        <f t="shared" si="11"/>
        <v>-76.38</v>
      </c>
      <c r="P51" s="42">
        <f t="shared" si="8"/>
        <v>79.35675675675677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228.8</v>
      </c>
      <c r="G53" s="36"/>
      <c r="H53" s="32"/>
      <c r="I53" s="42"/>
      <c r="J53" s="42"/>
      <c r="K53" s="112">
        <f>F53-239.6</f>
        <v>-10.799999999999983</v>
      </c>
      <c r="L53" s="112">
        <f>F53/239.6*100</f>
        <v>95.4924874791319</v>
      </c>
      <c r="M53" s="111"/>
      <c r="N53" s="179">
        <f>F53-лютий!F53</f>
        <v>81.5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194931.90999999997</v>
      </c>
      <c r="G58" s="37">
        <f>F58-E58</f>
        <v>-15897.601000000024</v>
      </c>
      <c r="H58" s="38">
        <f>F58/E58*100</f>
        <v>92.45949918273062</v>
      </c>
      <c r="I58" s="28">
        <f>F58-D58</f>
        <v>-688968.69</v>
      </c>
      <c r="J58" s="28">
        <f>F58/D58*100</f>
        <v>22.053600823441005</v>
      </c>
      <c r="K58" s="28">
        <f>F58-147138.18</f>
        <v>47793.72999999998</v>
      </c>
      <c r="L58" s="28">
        <f>F58/147138.18*100</f>
        <v>132.482208220871</v>
      </c>
      <c r="M58" s="15">
        <f>M8+M33+M56+M57</f>
        <v>83178.71500000001</v>
      </c>
      <c r="N58" s="15">
        <f>N8+N33+N56+N57</f>
        <v>49588.64500000002</v>
      </c>
      <c r="O58" s="41">
        <f>N58-M58</f>
        <v>-33590.06999999999</v>
      </c>
      <c r="P58" s="28">
        <f>N58/M58*100</f>
        <v>59.61698855290084</v>
      </c>
      <c r="Q58" s="28">
        <f>N58-34768</f>
        <v>14820.645000000019</v>
      </c>
      <c r="R58" s="128">
        <f>N58/34768</f>
        <v>1.4262725782328582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388.98</v>
      </c>
      <c r="G68" s="36">
        <f t="shared" si="13"/>
        <v>-1002.4300000000001</v>
      </c>
      <c r="H68" s="32">
        <f>F68/E68*100</f>
        <v>27.955814605328406</v>
      </c>
      <c r="I68" s="43">
        <f t="shared" si="14"/>
        <v>-7070.02</v>
      </c>
      <c r="J68" s="43">
        <f>F68/D68*100</f>
        <v>5.2149081646333295</v>
      </c>
      <c r="K68" s="43">
        <f>F68-1409.78</f>
        <v>-1020.8</v>
      </c>
      <c r="L68" s="43">
        <f>F68/1409.78*100</f>
        <v>27.591539105392332</v>
      </c>
      <c r="M68" s="32">
        <f>E68-лютий!E68</f>
        <v>259.01</v>
      </c>
      <c r="N68" s="178">
        <f>F68-лютий!F68</f>
        <v>12.310000000000002</v>
      </c>
      <c r="O68" s="40">
        <f t="shared" si="15"/>
        <v>-246.7</v>
      </c>
      <c r="P68" s="43">
        <f>N68/M68*100</f>
        <v>4.7527122504922605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7684.54</v>
      </c>
      <c r="G69" s="36">
        <f t="shared" si="13"/>
        <v>6797.69</v>
      </c>
      <c r="H69" s="32">
        <f>F69/E69*100</f>
        <v>866.498280430738</v>
      </c>
      <c r="I69" s="43">
        <f t="shared" si="14"/>
        <v>1684.54</v>
      </c>
      <c r="J69" s="43">
        <f>F69/D69*100</f>
        <v>128.07566666666668</v>
      </c>
      <c r="K69" s="43">
        <f>F69-11.06</f>
        <v>7673.48</v>
      </c>
      <c r="L69" s="43">
        <f>F69/11.06*100</f>
        <v>69480.47016274865</v>
      </c>
      <c r="M69" s="32">
        <f>E69-лютий!E69</f>
        <v>302</v>
      </c>
      <c r="N69" s="178">
        <f>F69-лютий!F69</f>
        <v>7037.7</v>
      </c>
      <c r="O69" s="40">
        <f t="shared" si="15"/>
        <v>6735.7</v>
      </c>
      <c r="P69" s="43">
        <f>N69/M69*100</f>
        <v>2330.364238410596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8076.67</v>
      </c>
      <c r="G71" s="45">
        <f t="shared" si="13"/>
        <v>5723.41</v>
      </c>
      <c r="H71" s="52">
        <f>F71/E71*100</f>
        <v>343.21196977809507</v>
      </c>
      <c r="I71" s="44">
        <f t="shared" si="14"/>
        <v>-9594.33</v>
      </c>
      <c r="J71" s="44">
        <f>F71/D71*100</f>
        <v>45.705789146058514</v>
      </c>
      <c r="K71" s="44">
        <f>F71-1454.31</f>
        <v>6622.360000000001</v>
      </c>
      <c r="L71" s="44">
        <f>F71/1454.31*100</f>
        <v>555.3609615556519</v>
      </c>
      <c r="M71" s="45">
        <f>M67+M68+M69+M70</f>
        <v>634.01</v>
      </c>
      <c r="N71" s="183">
        <f>N67+N68+N69+N70</f>
        <v>7051.0599999999995</v>
      </c>
      <c r="O71" s="44">
        <f t="shared" si="15"/>
        <v>6417.049999999999</v>
      </c>
      <c r="P71" s="44">
        <f>N71/M71*100</f>
        <v>1112.137032538919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2018.66</v>
      </c>
      <c r="G74" s="36">
        <f t="shared" si="13"/>
        <v>12.960000000000036</v>
      </c>
      <c r="H74" s="32">
        <f>F74/E74*100</f>
        <v>100.646158448422</v>
      </c>
      <c r="I74" s="43">
        <f t="shared" si="14"/>
        <v>-7481.34</v>
      </c>
      <c r="J74" s="40">
        <f>F74/D74*100</f>
        <v>21.249052631578948</v>
      </c>
      <c r="K74" s="40">
        <f>F74-0</f>
        <v>2018.66</v>
      </c>
      <c r="L74" s="43"/>
      <c r="M74" s="32">
        <f>E74-лютий!E74</f>
        <v>0.7999999999999545</v>
      </c>
      <c r="N74" s="178">
        <f>F74-лютий!F74</f>
        <v>5</v>
      </c>
      <c r="O74" s="40">
        <f>N74-M74</f>
        <v>4.2000000000000455</v>
      </c>
      <c r="P74" s="46">
        <f>N74/M74*100</f>
        <v>625.0000000000355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2019.38</v>
      </c>
      <c r="G76" s="30">
        <f>G72+G75+G73+G74</f>
        <v>13.680000000000037</v>
      </c>
      <c r="H76" s="52">
        <f>F76/E76*100</f>
        <v>100.68205614000101</v>
      </c>
      <c r="I76" s="44">
        <f t="shared" si="14"/>
        <v>-7481.62</v>
      </c>
      <c r="J76" s="44">
        <f>F76/D76*100</f>
        <v>21.25439427428692</v>
      </c>
      <c r="K76" s="44">
        <f>F76-0.58</f>
        <v>2018.8000000000002</v>
      </c>
      <c r="L76" s="44">
        <f>F76/0.58*100</f>
        <v>348168.96551724145</v>
      </c>
      <c r="M76" s="45">
        <f>M72+M75+M73+M74</f>
        <v>0.7999999999999545</v>
      </c>
      <c r="N76" s="183">
        <f>N72+N75+N73+N74</f>
        <v>5.55</v>
      </c>
      <c r="O76" s="45">
        <f>O72+O75+O73+O74</f>
        <v>4.750000000000045</v>
      </c>
      <c r="P76" s="44">
        <f>N76/M76*100</f>
        <v>693.7500000000394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10096.470000000001</v>
      </c>
      <c r="G79" s="37">
        <f>F79-E79</f>
        <v>5724.800000000001</v>
      </c>
      <c r="H79" s="38">
        <f>F79/E79*100</f>
        <v>230.9522447943235</v>
      </c>
      <c r="I79" s="28">
        <f>F79-D79</f>
        <v>-17118.53</v>
      </c>
      <c r="J79" s="28">
        <f>F79/D79*100</f>
        <v>37.09891603894911</v>
      </c>
      <c r="K79" s="28">
        <f>F79-1453.19</f>
        <v>8643.28</v>
      </c>
      <c r="L79" s="28">
        <f>F79/1453.19*100</f>
        <v>694.7797603892128</v>
      </c>
      <c r="M79" s="24">
        <f>M65+M77+M71+M76</f>
        <v>646.8</v>
      </c>
      <c r="N79" s="165">
        <f>N65+N77+N71+N76+N78</f>
        <v>7056.61</v>
      </c>
      <c r="O79" s="28">
        <f t="shared" si="15"/>
        <v>6409.8099999999995</v>
      </c>
      <c r="P79" s="28">
        <f>N79/M79*100</f>
        <v>1091.003401360544</v>
      </c>
      <c r="Q79" s="28">
        <f>N79-8104.96</f>
        <v>-1048.3500000000004</v>
      </c>
      <c r="R79" s="101">
        <f>N79/8104.96</f>
        <v>0.8706532789797852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205028.37999999998</v>
      </c>
      <c r="G80" s="37">
        <f>F80-E80</f>
        <v>-10172.801000000036</v>
      </c>
      <c r="H80" s="38">
        <f>F80/E80*100</f>
        <v>95.27288793085201</v>
      </c>
      <c r="I80" s="28">
        <f>F80-D80</f>
        <v>-706087.22</v>
      </c>
      <c r="J80" s="28">
        <f>F80/D80*100</f>
        <v>22.50300400959</v>
      </c>
      <c r="K80" s="28">
        <f>K58+K79</f>
        <v>56437.00999999998</v>
      </c>
      <c r="L80" s="28">
        <f>F80/139550.7*100</f>
        <v>146.9203522447397</v>
      </c>
      <c r="M80" s="15">
        <f>M58+M79</f>
        <v>83825.51500000001</v>
      </c>
      <c r="N80" s="15">
        <f>N58+N79</f>
        <v>56645.25500000002</v>
      </c>
      <c r="O80" s="28">
        <f t="shared" si="15"/>
        <v>-27180.259999999995</v>
      </c>
      <c r="P80" s="28">
        <f>N80/M80*100</f>
        <v>67.57519473635206</v>
      </c>
      <c r="Q80" s="28">
        <f>N80-42872.96</f>
        <v>13772.29500000002</v>
      </c>
      <c r="R80" s="101">
        <f>N80/42872.96</f>
        <v>1.3212349928719644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4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42454</v>
      </c>
      <c r="D84" s="31">
        <v>2615.2</v>
      </c>
      <c r="G84" s="4" t="s">
        <v>59</v>
      </c>
      <c r="N84" s="213"/>
      <c r="O84" s="213"/>
    </row>
    <row r="85" spans="3:15" ht="15">
      <c r="C85" s="87">
        <v>42453</v>
      </c>
      <c r="D85" s="31">
        <v>1653.6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42452</v>
      </c>
      <c r="D86" s="31">
        <v>1903.3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26.761490000000002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2016-03-25T10:22:08Z</cp:lastPrinted>
  <dcterms:created xsi:type="dcterms:W3CDTF">2003-07-28T11:27:56Z</dcterms:created>
  <dcterms:modified xsi:type="dcterms:W3CDTF">2016-03-28T08:34:19Z</dcterms:modified>
  <cp:category/>
  <cp:version/>
  <cp:contentType/>
  <cp:contentStatus/>
</cp:coreProperties>
</file>